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Расчет дотации " sheetId="2" r:id="rId1"/>
    <sheet name="Субвенции от чмсленности " sheetId="3" r:id="rId2"/>
  </sheets>
  <externalReferences>
    <externalReference r:id="rId3"/>
  </externalReferences>
  <calcPr calcId="124519"/>
</workbook>
</file>

<file path=xl/calcChain.xml><?xml version="1.0" encoding="utf-8"?>
<calcChain xmlns="http://schemas.openxmlformats.org/spreadsheetml/2006/main">
  <c r="L4" i="3"/>
  <c r="C9" s="1"/>
  <c r="E9" s="1"/>
  <c r="D18"/>
  <c r="D16"/>
  <c r="D14"/>
  <c r="D10"/>
  <c r="V11" i="2"/>
  <c r="R11"/>
  <c r="Q11"/>
  <c r="S11" s="1"/>
  <c r="C11"/>
  <c r="B11"/>
  <c r="D11" s="1"/>
  <c r="H10"/>
  <c r="E10"/>
  <c r="F10" s="1"/>
  <c r="D10"/>
  <c r="O9"/>
  <c r="N9"/>
  <c r="M9"/>
  <c r="S9" s="1"/>
  <c r="H9"/>
  <c r="E9"/>
  <c r="F9" s="1"/>
  <c r="D9"/>
  <c r="H8"/>
  <c r="F8"/>
  <c r="E8"/>
  <c r="D8"/>
  <c r="H7"/>
  <c r="E7"/>
  <c r="F7" s="1"/>
  <c r="D7"/>
  <c r="H6"/>
  <c r="E6"/>
  <c r="F6" s="1"/>
  <c r="D6"/>
  <c r="H5"/>
  <c r="F5"/>
  <c r="E5"/>
  <c r="D5"/>
  <c r="E17" i="3"/>
  <c r="B14"/>
  <c r="C13"/>
  <c r="E13" s="1"/>
  <c r="B10"/>
  <c r="B16" s="1"/>
  <c r="B18" s="1"/>
  <c r="C8"/>
  <c r="E8" s="1"/>
  <c r="C7"/>
  <c r="E7" s="1"/>
  <c r="C12" l="1"/>
  <c r="E12" s="1"/>
  <c r="C6"/>
  <c r="C10" s="1"/>
  <c r="E10" s="1"/>
  <c r="G11" i="2"/>
  <c r="I11" s="1"/>
  <c r="E11"/>
  <c r="F11" s="1"/>
  <c r="G7" s="1"/>
  <c r="I7" s="1"/>
  <c r="C14" i="3" l="1"/>
  <c r="E14" s="1"/>
  <c r="E6"/>
  <c r="G9" i="2"/>
  <c r="I9" s="1"/>
  <c r="G5"/>
  <c r="I5" s="1"/>
  <c r="G8"/>
  <c r="I8" s="1"/>
  <c r="G6"/>
  <c r="I6" s="1"/>
  <c r="G10"/>
  <c r="I10" s="1"/>
  <c r="C16" i="3"/>
  <c r="E16" s="1"/>
  <c r="J8" i="2" l="1"/>
  <c r="J9"/>
  <c r="C18" i="3"/>
  <c r="E18" s="1"/>
  <c r="J11" i="2" l="1"/>
  <c r="K6" l="1"/>
  <c r="M6" s="1"/>
  <c r="K10"/>
  <c r="M10" s="1"/>
  <c r="K8"/>
  <c r="M8" s="1"/>
  <c r="K5"/>
  <c r="K7"/>
  <c r="M7" s="1"/>
  <c r="S7" l="1"/>
  <c r="N7"/>
  <c r="O7" s="1"/>
  <c r="S8"/>
  <c r="N8"/>
  <c r="O8" s="1"/>
  <c r="S6"/>
  <c r="N6"/>
  <c r="O6" s="1"/>
  <c r="S10"/>
  <c r="N10"/>
  <c r="O10" s="1"/>
  <c r="M5"/>
  <c r="K11"/>
  <c r="M11" l="1"/>
  <c r="S5"/>
  <c r="N5"/>
  <c r="N11" l="1"/>
  <c r="O11" s="1"/>
  <c r="O5"/>
  <c r="P9" l="1"/>
  <c r="P7"/>
  <c r="U7" s="1"/>
  <c r="P8"/>
  <c r="U8" s="1"/>
  <c r="P6"/>
  <c r="U6" s="1"/>
  <c r="P10"/>
  <c r="U10" s="1"/>
  <c r="P5"/>
  <c r="U5" s="1"/>
  <c r="U11" l="1"/>
  <c r="W9" s="1"/>
  <c r="X9" s="1"/>
  <c r="W7"/>
  <c r="X7" s="1"/>
  <c r="Z7" l="1"/>
  <c r="Y7"/>
  <c r="Z9"/>
  <c r="Y9"/>
  <c r="W6"/>
  <c r="X6" s="1"/>
  <c r="W5"/>
  <c r="W8"/>
  <c r="X8" s="1"/>
  <c r="W10"/>
  <c r="X10" s="1"/>
  <c r="W11" l="1"/>
  <c r="X11" s="1"/>
  <c r="Z11" s="1"/>
  <c r="X5"/>
  <c r="Z8"/>
  <c r="Y8"/>
  <c r="Z6"/>
  <c r="Y6"/>
  <c r="Z10"/>
  <c r="Y10"/>
  <c r="Z5" l="1"/>
  <c r="Y5"/>
  <c r="Y11" s="1"/>
</calcChain>
</file>

<file path=xl/sharedStrings.xml><?xml version="1.0" encoding="utf-8"?>
<sst xmlns="http://schemas.openxmlformats.org/spreadsheetml/2006/main" count="65" uniqueCount="50">
  <si>
    <t>Наименование поселения</t>
  </si>
  <si>
    <t>Численность населения на 01.01.2022 г</t>
  </si>
  <si>
    <t>Всего доходов (тыс.руб.)</t>
  </si>
  <si>
    <t>Бекетовское с.п.</t>
  </si>
  <si>
    <t>Ермоловское с.п.</t>
  </si>
  <si>
    <t>Каргинское с.п.</t>
  </si>
  <si>
    <t>Стемасское с.п.</t>
  </si>
  <si>
    <t>Итого по с.п.</t>
  </si>
  <si>
    <t>Вешкаймское г.п.</t>
  </si>
  <si>
    <t>Чуфаровское г.п.</t>
  </si>
  <si>
    <t>Итого по г.п.</t>
  </si>
  <si>
    <t>Всего по поселениям</t>
  </si>
  <si>
    <t>Муниципальный район (гос.полномочия)</t>
  </si>
  <si>
    <t>Итого по консолидированному бюджету</t>
  </si>
  <si>
    <t>Наименование муниципальных образований</t>
  </si>
  <si>
    <t>Численность населения на 01.01.2022 (тыс.чел.)</t>
  </si>
  <si>
    <t xml:space="preserve">Прогноз налоговых и неналоговых доходов поселений в очередном финансовом году  (тыс.руб.) </t>
  </si>
  <si>
    <t>Налоговый потенциал на душу населения (руб.) гр.3/гр.2</t>
  </si>
  <si>
    <t>Доходный потенциал поселений (гр15+гр16)</t>
  </si>
  <si>
    <t>Доходный потенциал на душу населения (руб.) гр.4а/гр2</t>
  </si>
  <si>
    <t>Индекс доходного потенциала  (гр.4б/гр.4общ)</t>
  </si>
  <si>
    <t>Индекс бюджетных расходов</t>
  </si>
  <si>
    <t>Бюджетная обеспечен-ность (гр.5/гр.6)</t>
  </si>
  <si>
    <t xml:space="preserve"> У1                             Первый критерий выравнивания                      (1мин +  мах) / 2</t>
  </si>
  <si>
    <t>Объём 1 части дотации необходимый для доведения до первого критерия  выравнивания (гр3общ*(гр8общ-гр7)*гр6*гр2)</t>
  </si>
  <si>
    <t>Степень сокращения отставания  П=0,65</t>
  </si>
  <si>
    <t>Объём Д (1) = гр.9*гр.10</t>
  </si>
  <si>
    <t xml:space="preserve">ПДпмр + Дотация 1 часть </t>
  </si>
  <si>
    <t>Налоговый потенциал на душу населения после распределения 1 части (руб.) гр.12/гр.2</t>
  </si>
  <si>
    <t>БО1 после распределения первой части дотации гр14=гр.7+гр.11 /(гр.6*гр.2*гр13общ.)</t>
  </si>
  <si>
    <t>Налоговый потенциал (налоги входящие в репрезентативную систему налогов) тыс.руб.(НДФЛ,земельный налог, налог на имущество)</t>
  </si>
  <si>
    <t xml:space="preserve">Дотация за счёт субвенции по расчёту представлению дотаций поселениям </t>
  </si>
  <si>
    <t>Среднедушевой прогноз  поселений гр17 = гр11+гр15+гр.16</t>
  </si>
  <si>
    <t>Второй критерий выравнивания (У2=1)</t>
  </si>
  <si>
    <t>Объём средств, необходимый для доведения бюджетной обеспеченности  до второго критерия выравнивания      гр19=  (гр.17общ *(гр19 общ.- гр.15)* гр6 *гр2</t>
  </si>
  <si>
    <t xml:space="preserve">Объём Дот(П) </t>
  </si>
  <si>
    <t>Объём Д(2) гр.21=(гр20общ- гр.11общ)*гр.19/гр.19общ</t>
  </si>
  <si>
    <t>Д1+Д2                       гр.22 = гр.11 + гр.21</t>
  </si>
  <si>
    <t>РБО после выравнивания  гр.23= гр.7+ гр.22/гр.2*гр6*гр.17общ)</t>
  </si>
  <si>
    <t>Дотация +Субвенции от численности</t>
  </si>
  <si>
    <t>4а</t>
  </si>
  <si>
    <t>4б</t>
  </si>
  <si>
    <t>х</t>
  </si>
  <si>
    <t>Ермоловское с.п</t>
  </si>
  <si>
    <t xml:space="preserve">Стемасское с.п. </t>
  </si>
  <si>
    <t>Чуфаровское г.п</t>
  </si>
  <si>
    <t>Расчёт дотации на выравнивание бюджетной обеспеченности на 2025 год МО "Вешкаймский район"</t>
  </si>
  <si>
    <t>Субвенции на реализацию полномочий по расчету и предоставлению дотаций поселениям на 2025 год</t>
  </si>
  <si>
    <t>Расчет субвенции</t>
  </si>
  <si>
    <t>Собственные доходы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</si>
</sst>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#,##0.000"/>
  </numFmts>
  <fonts count="10"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PT Astra Serif"/>
      <family val="1"/>
      <charset val="204"/>
    </font>
    <font>
      <sz val="11"/>
      <name val="PT Astra Serif"/>
      <family val="1"/>
      <charset val="204"/>
    </font>
    <font>
      <sz val="8"/>
      <name val="PT Astra Serif"/>
      <family val="1"/>
      <charset val="204"/>
    </font>
    <font>
      <sz val="8"/>
      <name val="Arial"/>
      <family val="2"/>
      <charset val="204"/>
    </font>
    <font>
      <b/>
      <sz val="8"/>
      <name val="PT Astra Serif"/>
      <family val="1"/>
      <charset val="204"/>
    </font>
    <font>
      <b/>
      <sz val="20"/>
      <name val="PT Astra Serif"/>
      <family val="1"/>
      <charset val="204"/>
    </font>
    <font>
      <b/>
      <sz val="2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/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165" fontId="1" fillId="2" borderId="1" xfId="0" applyNumberFormat="1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165" fontId="2" fillId="2" borderId="1" xfId="0" applyNumberFormat="1" applyFont="1" applyFill="1" applyBorder="1"/>
    <xf numFmtId="0" fontId="1" fillId="2" borderId="2" xfId="0" applyFont="1" applyFill="1" applyBorder="1"/>
    <xf numFmtId="165" fontId="2" fillId="2" borderId="2" xfId="0" applyNumberFormat="1" applyFont="1" applyFill="1" applyBorder="1"/>
    <xf numFmtId="0" fontId="2" fillId="2" borderId="1" xfId="0" applyFont="1" applyFill="1" applyBorder="1" applyAlignment="1">
      <alignment wrapText="1"/>
    </xf>
    <xf numFmtId="166" fontId="3" fillId="2" borderId="1" xfId="0" applyNumberFormat="1" applyFont="1" applyFill="1" applyBorder="1" applyAlignment="1">
      <alignment horizontal="right" wrapText="1"/>
    </xf>
    <xf numFmtId="165" fontId="1" fillId="2" borderId="2" xfId="0" applyNumberFormat="1" applyFont="1" applyFill="1" applyBorder="1"/>
    <xf numFmtId="166" fontId="4" fillId="2" borderId="1" xfId="0" applyNumberFormat="1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justify" wrapText="1"/>
    </xf>
    <xf numFmtId="0" fontId="5" fillId="2" borderId="1" xfId="0" applyFont="1" applyFill="1" applyBorder="1" applyAlignment="1">
      <alignment horizontal="left" vertical="justify" wrapText="1"/>
    </xf>
    <xf numFmtId="0" fontId="6" fillId="2" borderId="2" xfId="0" applyFont="1" applyFill="1" applyBorder="1"/>
    <xf numFmtId="166" fontId="5" fillId="2" borderId="1" xfId="0" applyNumberFormat="1" applyFont="1" applyFill="1" applyBorder="1" applyAlignment="1">
      <alignment horizontal="right" wrapText="1"/>
    </xf>
    <xf numFmtId="165" fontId="5" fillId="2" borderId="1" xfId="0" applyNumberFormat="1" applyFont="1" applyFill="1" applyBorder="1" applyAlignment="1">
      <alignment horizontal="right" wrapText="1"/>
    </xf>
    <xf numFmtId="2" fontId="5" fillId="2" borderId="1" xfId="0" applyNumberFormat="1" applyFont="1" applyFill="1" applyBorder="1" applyAlignment="1">
      <alignment horizontal="right" wrapText="1"/>
    </xf>
    <xf numFmtId="4" fontId="5" fillId="2" borderId="1" xfId="0" applyNumberFormat="1" applyFont="1" applyFill="1" applyBorder="1" applyAlignment="1">
      <alignment horizontal="right" wrapText="1"/>
    </xf>
    <xf numFmtId="167" fontId="5" fillId="2" borderId="1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right" vertical="justify" wrapText="1"/>
    </xf>
    <xf numFmtId="165" fontId="6" fillId="2" borderId="2" xfId="0" applyNumberFormat="1" applyFont="1" applyFill="1" applyBorder="1"/>
    <xf numFmtId="0" fontId="7" fillId="2" borderId="1" xfId="0" applyFont="1" applyFill="1" applyBorder="1" applyAlignment="1">
      <alignment horizontal="left" vertical="justify" wrapText="1"/>
    </xf>
    <xf numFmtId="165" fontId="7" fillId="2" borderId="1" xfId="0" applyNumberFormat="1" applyFont="1" applyFill="1" applyBorder="1" applyAlignment="1">
      <alignment horizontal="right" wrapText="1"/>
    </xf>
    <xf numFmtId="166" fontId="7" fillId="2" borderId="1" xfId="0" applyNumberFormat="1" applyFont="1" applyFill="1" applyBorder="1" applyAlignment="1">
      <alignment horizontal="right" wrapText="1"/>
    </xf>
    <xf numFmtId="2" fontId="7" fillId="2" borderId="1" xfId="0" applyNumberFormat="1" applyFont="1" applyFill="1" applyBorder="1" applyAlignment="1">
      <alignment horizontal="right" wrapText="1"/>
    </xf>
    <xf numFmtId="4" fontId="7" fillId="2" borderId="1" xfId="0" applyNumberFormat="1" applyFont="1" applyFill="1" applyBorder="1" applyAlignment="1">
      <alignment horizontal="right" wrapText="1"/>
    </xf>
    <xf numFmtId="167" fontId="7" fillId="2" borderId="1" xfId="0" applyNumberFormat="1" applyFont="1" applyFill="1" applyBorder="1" applyAlignment="1">
      <alignment horizontal="right" wrapText="1"/>
    </xf>
    <xf numFmtId="164" fontId="7" fillId="2" borderId="1" xfId="0" applyNumberFormat="1" applyFont="1" applyFill="1" applyBorder="1" applyAlignment="1">
      <alignment horizontal="right" wrapText="1"/>
    </xf>
    <xf numFmtId="0" fontId="8" fillId="2" borderId="0" xfId="0" applyNumberFormat="1" applyFont="1" applyFill="1" applyAlignment="1"/>
    <xf numFmtId="0" fontId="9" fillId="2" borderId="0" xfId="0" applyNumberFormat="1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dg2/Documents/&#1052;&#1086;&#1080;%20&#1076;&#1086;&#1082;&#1091;&#1084;&#1077;&#1085;&#1090;&#1099;/&#1041;&#1070;&#1044;&#1046;&#1045;&#1058;%202023-2025&#1075;&#1075;/&#1056;&#1072;&#1089;&#1095;&#1077;&#1090;%20&#1076;&#1086;&#1090;&#1072;&#1094;&#1080;&#1081;/&#1056;&#1040;&#1057;&#1063;&#1025;&#1058;%20&#1044;&#1054;&#1058;&#1040;&#1062;&#1048;&#1048;%20&#1055;&#1054;&#1057;&#1045;&#1051;&#1045;&#1053;&#1048;&#1071;&#1052;%20&#1042;&#1077;&#1096;&#1082;&#1072;&#1081;&#1084;&#1072;%20&#1074;%20&#1085;&#1072;%202025%20&#1075;&#1086;&#1076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Дотации"/>
      <sheetName val="Субвенции от численности"/>
      <sheetName val="Расчет коэф удорожания"/>
      <sheetName val="ИБР"/>
      <sheetName val="по Отрослям"/>
    </sheetNames>
    <sheetDataSet>
      <sheetData sheetId="0"/>
      <sheetData sheetId="1"/>
      <sheetData sheetId="2"/>
      <sheetData sheetId="3">
        <row r="5">
          <cell r="Q5">
            <v>1.1748505832084151</v>
          </cell>
        </row>
        <row r="6">
          <cell r="Q6">
            <v>0.96469802669646176</v>
          </cell>
        </row>
        <row r="7">
          <cell r="Q7">
            <v>1.7727074909104745</v>
          </cell>
        </row>
        <row r="8">
          <cell r="Q8">
            <v>2.0173984385279509</v>
          </cell>
        </row>
        <row r="9">
          <cell r="Q9">
            <v>0.66395301402475893</v>
          </cell>
        </row>
        <row r="10">
          <cell r="Q10">
            <v>1.9896622094072209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1"/>
  <sheetViews>
    <sheetView tabSelected="1" workbookViewId="0">
      <selection activeCell="B5" sqref="B5:Z11"/>
    </sheetView>
  </sheetViews>
  <sheetFormatPr defaultRowHeight="15"/>
  <cols>
    <col min="1" max="1" width="13.140625" customWidth="1"/>
    <col min="2" max="2" width="10.85546875" customWidth="1"/>
    <col min="3" max="3" width="12.28515625" customWidth="1"/>
  </cols>
  <sheetData>
    <row r="1" spans="1:26" ht="30">
      <c r="B1" s="38" t="s">
        <v>46</v>
      </c>
      <c r="C1" s="39"/>
      <c r="D1" s="39"/>
      <c r="E1" s="39"/>
      <c r="F1" s="39"/>
      <c r="G1" s="39"/>
      <c r="H1" s="39"/>
    </row>
    <row r="3" spans="1:26" ht="174" customHeight="1">
      <c r="A3" s="17" t="s">
        <v>14</v>
      </c>
      <c r="B3" s="17" t="s">
        <v>15</v>
      </c>
      <c r="C3" s="17" t="s">
        <v>16</v>
      </c>
      <c r="D3" s="17" t="s">
        <v>17</v>
      </c>
      <c r="E3" s="17" t="s">
        <v>18</v>
      </c>
      <c r="F3" s="17" t="s">
        <v>19</v>
      </c>
      <c r="G3" s="17" t="s">
        <v>20</v>
      </c>
      <c r="H3" s="17" t="s">
        <v>21</v>
      </c>
      <c r="I3" s="17" t="s">
        <v>22</v>
      </c>
      <c r="J3" s="17" t="s">
        <v>23</v>
      </c>
      <c r="K3" s="17" t="s">
        <v>24</v>
      </c>
      <c r="L3" s="17" t="s">
        <v>25</v>
      </c>
      <c r="M3" s="17" t="s">
        <v>26</v>
      </c>
      <c r="N3" s="17" t="s">
        <v>27</v>
      </c>
      <c r="O3" s="17" t="s">
        <v>28</v>
      </c>
      <c r="P3" s="17" t="s">
        <v>29</v>
      </c>
      <c r="Q3" s="17" t="s">
        <v>30</v>
      </c>
      <c r="R3" s="17" t="s">
        <v>31</v>
      </c>
      <c r="S3" s="17" t="s">
        <v>32</v>
      </c>
      <c r="T3" s="17" t="s">
        <v>33</v>
      </c>
      <c r="U3" s="17" t="s">
        <v>34</v>
      </c>
      <c r="V3" s="17" t="s">
        <v>35</v>
      </c>
      <c r="W3" s="17" t="s">
        <v>36</v>
      </c>
      <c r="X3" s="17" t="s">
        <v>37</v>
      </c>
      <c r="Y3" s="17" t="s">
        <v>38</v>
      </c>
      <c r="Z3" s="17" t="s">
        <v>39</v>
      </c>
    </row>
    <row r="4" spans="1:26">
      <c r="A4" s="18">
        <v>1</v>
      </c>
      <c r="B4" s="18">
        <v>2</v>
      </c>
      <c r="C4" s="18">
        <v>3</v>
      </c>
      <c r="D4" s="18">
        <v>4</v>
      </c>
      <c r="E4" s="18" t="s">
        <v>40</v>
      </c>
      <c r="F4" s="18" t="s">
        <v>41</v>
      </c>
      <c r="G4" s="18">
        <v>5</v>
      </c>
      <c r="H4" s="18">
        <v>6</v>
      </c>
      <c r="I4" s="18">
        <v>7</v>
      </c>
      <c r="J4" s="18">
        <v>8</v>
      </c>
      <c r="K4" s="18">
        <v>9</v>
      </c>
      <c r="L4" s="18">
        <v>10</v>
      </c>
      <c r="M4" s="18">
        <v>11</v>
      </c>
      <c r="N4" s="18">
        <v>12</v>
      </c>
      <c r="O4" s="18">
        <v>13</v>
      </c>
      <c r="P4" s="18">
        <v>14</v>
      </c>
      <c r="Q4" s="18">
        <v>15</v>
      </c>
      <c r="R4" s="18">
        <v>16</v>
      </c>
      <c r="S4" s="18">
        <v>17</v>
      </c>
      <c r="T4" s="18">
        <v>18</v>
      </c>
      <c r="U4" s="18">
        <v>19</v>
      </c>
      <c r="V4" s="18">
        <v>20</v>
      </c>
      <c r="W4" s="18">
        <v>21</v>
      </c>
      <c r="X4" s="18">
        <v>22</v>
      </c>
      <c r="Y4" s="18">
        <v>23</v>
      </c>
      <c r="Z4" s="18">
        <v>24</v>
      </c>
    </row>
    <row r="5" spans="1:26">
      <c r="A5" s="19" t="s">
        <v>3</v>
      </c>
      <c r="B5" s="20">
        <v>1.4259999999999999</v>
      </c>
      <c r="C5" s="21">
        <v>968.4</v>
      </c>
      <c r="D5" s="21">
        <f>C5/B5</f>
        <v>679.10238429172512</v>
      </c>
      <c r="E5" s="21">
        <f>Q5+R5</f>
        <v>1672.838</v>
      </c>
      <c r="F5" s="21">
        <f>E5/B5</f>
        <v>1173.0981767180926</v>
      </c>
      <c r="G5" s="22">
        <f>F5/F11</f>
        <v>0.52337915953646585</v>
      </c>
      <c r="H5" s="22">
        <f>[1]ИБР!Q5</f>
        <v>1.1748505832084151</v>
      </c>
      <c r="I5" s="22">
        <f>G5/H5</f>
        <v>0.4454857213477843</v>
      </c>
      <c r="J5" s="22"/>
      <c r="K5" s="21">
        <f>$D$11*($J$11-I5)*H5*B5</f>
        <v>2394.6075413806698</v>
      </c>
      <c r="L5" s="23">
        <v>0.65</v>
      </c>
      <c r="M5" s="24">
        <f t="shared" ref="M5:M10" si="0">K5*L5</f>
        <v>1556.4949018974355</v>
      </c>
      <c r="N5" s="21">
        <f t="shared" ref="N5:N10" si="1">C5+M5+R5</f>
        <v>3261.8329018974355</v>
      </c>
      <c r="O5" s="21">
        <f t="shared" ref="O5:O10" si="2">N5/B5</f>
        <v>2287.4003519617359</v>
      </c>
      <c r="P5" s="25">
        <f t="shared" ref="P5:P10" si="3">I5+M5/(H5*B5*$O$11)</f>
        <v>0.72452698837725871</v>
      </c>
      <c r="Q5" s="26">
        <v>935.9</v>
      </c>
      <c r="R5" s="22">
        <v>736.93799999999999</v>
      </c>
      <c r="S5" s="26">
        <f t="shared" ref="S5:S10" si="4">(Q5+R5+ M5)/B5</f>
        <v>2264.6093281188187</v>
      </c>
      <c r="T5" s="27" t="s">
        <v>42</v>
      </c>
      <c r="U5" s="21">
        <f>S$11*(T$11-P5)*H5*B5</f>
        <v>1034.425346838909</v>
      </c>
      <c r="V5" s="28" t="s">
        <v>42</v>
      </c>
      <c r="W5" s="24">
        <f t="shared" ref="W5:W10" si="5">(V$11-M$11)*U5/U$11</f>
        <v>1215.9344046397071</v>
      </c>
      <c r="X5" s="25">
        <f>M5+W5</f>
        <v>2772.4293065371426</v>
      </c>
      <c r="Y5" s="22">
        <f t="shared" ref="Y5:Y10" si="6">I5+X5/(B5*H5*S$11)</f>
        <v>1.1837984985016008</v>
      </c>
      <c r="Z5" s="29">
        <f t="shared" ref="Z5:Z10" si="7">X5+R5</f>
        <v>3509.3673065371427</v>
      </c>
    </row>
    <row r="6" spans="1:26">
      <c r="A6" s="19" t="s">
        <v>43</v>
      </c>
      <c r="B6" s="30">
        <v>2.2559999999999998</v>
      </c>
      <c r="C6" s="21">
        <v>1868.8</v>
      </c>
      <c r="D6" s="21">
        <f t="shared" ref="D6:D11" si="8">C6/B6</f>
        <v>828.36879432624119</v>
      </c>
      <c r="E6" s="21">
        <f t="shared" ref="E6:E11" si="9">Q6+R6</f>
        <v>2878.67</v>
      </c>
      <c r="F6" s="21">
        <f t="shared" ref="F6:F11" si="10">E6/B6</f>
        <v>1276.006205673759</v>
      </c>
      <c r="G6" s="22">
        <f>F6/F11</f>
        <v>0.56929170016887198</v>
      </c>
      <c r="H6" s="22">
        <f>[1]ИБР!Q6</f>
        <v>0.96469802669646176</v>
      </c>
      <c r="I6" s="22">
        <f t="shared" ref="I6:I11" si="11">G6/H6</f>
        <v>0.59012425071332431</v>
      </c>
      <c r="J6" s="22"/>
      <c r="K6" s="21">
        <f>$D$11*($J$11-I6)*H6*B6</f>
        <v>2405.6808068695614</v>
      </c>
      <c r="L6" s="23">
        <v>0.65</v>
      </c>
      <c r="M6" s="24">
        <f t="shared" si="0"/>
        <v>1563.692524465215</v>
      </c>
      <c r="N6" s="21">
        <f t="shared" si="1"/>
        <v>4598.3625244652148</v>
      </c>
      <c r="O6" s="21">
        <f t="shared" si="2"/>
        <v>2038.2812608445104</v>
      </c>
      <c r="P6" s="25">
        <f t="shared" si="3"/>
        <v>0.80592043910848699</v>
      </c>
      <c r="Q6" s="26">
        <v>1712.8</v>
      </c>
      <c r="R6" s="22">
        <v>1165.8699999999999</v>
      </c>
      <c r="S6" s="26">
        <f t="shared" si="4"/>
        <v>1969.1323246742975</v>
      </c>
      <c r="T6" s="27" t="s">
        <v>42</v>
      </c>
      <c r="U6" s="21">
        <f>S$11*(T$11-P6)*H6*B6</f>
        <v>946.73453747451163</v>
      </c>
      <c r="V6" s="28" t="s">
        <v>42</v>
      </c>
      <c r="W6" s="24">
        <f t="shared" si="5"/>
        <v>1112.8566210154843</v>
      </c>
      <c r="X6" s="25">
        <f t="shared" ref="X6:X11" si="12">M6+W6</f>
        <v>2676.5491454806993</v>
      </c>
      <c r="Y6" s="22">
        <f t="shared" si="6"/>
        <v>1.1388139438612663</v>
      </c>
      <c r="Z6" s="29">
        <f t="shared" si="7"/>
        <v>3842.4191454806992</v>
      </c>
    </row>
    <row r="7" spans="1:26">
      <c r="A7" s="19" t="s">
        <v>5</v>
      </c>
      <c r="B7" s="20">
        <v>0.86</v>
      </c>
      <c r="C7" s="21">
        <v>937.7</v>
      </c>
      <c r="D7" s="21">
        <f t="shared" si="8"/>
        <v>1090.3488372093025</v>
      </c>
      <c r="E7" s="21">
        <f t="shared" si="9"/>
        <v>1334.7370000000001</v>
      </c>
      <c r="F7" s="21">
        <f t="shared" si="10"/>
        <v>1552.0197674418605</v>
      </c>
      <c r="G7" s="22">
        <f>F7/F11</f>
        <v>0.69243548203289451</v>
      </c>
      <c r="H7" s="22">
        <f>[1]ИБР!Q7</f>
        <v>1.7727074909104745</v>
      </c>
      <c r="I7" s="22">
        <f t="shared" si="11"/>
        <v>0.39060898968574614</v>
      </c>
      <c r="J7" s="22"/>
      <c r="K7" s="21">
        <f>$D$11*($J$11-I7)*H7*B7</f>
        <v>2366.4356345238293</v>
      </c>
      <c r="L7" s="23">
        <v>0.65</v>
      </c>
      <c r="M7" s="24">
        <f t="shared" si="0"/>
        <v>1538.183162440489</v>
      </c>
      <c r="N7" s="21">
        <f t="shared" si="1"/>
        <v>2920.3201624404892</v>
      </c>
      <c r="O7" s="21">
        <f t="shared" si="2"/>
        <v>3395.7211191168481</v>
      </c>
      <c r="P7" s="25">
        <f t="shared" si="3"/>
        <v>0.69364582155111765</v>
      </c>
      <c r="Q7" s="26">
        <v>890.3</v>
      </c>
      <c r="R7" s="22">
        <v>444.43700000000001</v>
      </c>
      <c r="S7" s="26">
        <f t="shared" si="4"/>
        <v>3340.6048400470804</v>
      </c>
      <c r="T7" s="27" t="s">
        <v>42</v>
      </c>
      <c r="U7" s="21">
        <f>S$11*(T$11-P7)*H7*B7</f>
        <v>1046.8326840334553</v>
      </c>
      <c r="V7" s="28" t="s">
        <v>42</v>
      </c>
      <c r="W7" s="24">
        <f t="shared" si="5"/>
        <v>1230.5188386067568</v>
      </c>
      <c r="X7" s="25">
        <f t="shared" si="12"/>
        <v>2768.7020010472461</v>
      </c>
      <c r="Y7" s="22">
        <f t="shared" si="6"/>
        <v>1.2008659102401089</v>
      </c>
      <c r="Z7" s="29">
        <f t="shared" si="7"/>
        <v>3213.139001047246</v>
      </c>
    </row>
    <row r="8" spans="1:26">
      <c r="A8" s="19" t="s">
        <v>44</v>
      </c>
      <c r="B8" s="20">
        <v>0.73299999999999998</v>
      </c>
      <c r="C8" s="21">
        <v>880.8</v>
      </c>
      <c r="D8" s="21">
        <f t="shared" si="8"/>
        <v>1201.6371077762619</v>
      </c>
      <c r="E8" s="21">
        <f t="shared" si="9"/>
        <v>1114.7049999999999</v>
      </c>
      <c r="F8" s="21">
        <f t="shared" si="10"/>
        <v>1520.743519781719</v>
      </c>
      <c r="G8" s="22">
        <f>F8/F11</f>
        <v>0.67848154660046989</v>
      </c>
      <c r="H8" s="22">
        <f>[1]ИБР!Q8</f>
        <v>2.0173984385279509</v>
      </c>
      <c r="I8" s="22">
        <f t="shared" si="11"/>
        <v>0.3363150945509516</v>
      </c>
      <c r="J8" s="22">
        <f>I8</f>
        <v>0.3363150945509516</v>
      </c>
      <c r="K8" s="21">
        <f>$D$11*($J$11-I8)*H8*B8</f>
        <v>2475.2074726795536</v>
      </c>
      <c r="L8" s="23">
        <v>0.65</v>
      </c>
      <c r="M8" s="24">
        <f t="shared" si="0"/>
        <v>1608.8848572417098</v>
      </c>
      <c r="N8" s="21">
        <f t="shared" si="1"/>
        <v>2868.4898572417096</v>
      </c>
      <c r="O8" s="21">
        <f t="shared" si="2"/>
        <v>3913.3558761824142</v>
      </c>
      <c r="P8" s="25">
        <f t="shared" si="3"/>
        <v>0.66309263839829424</v>
      </c>
      <c r="Q8" s="26">
        <v>735.9</v>
      </c>
      <c r="R8" s="22">
        <v>378.80500000000001</v>
      </c>
      <c r="S8" s="26">
        <f t="shared" si="4"/>
        <v>3715.6751121987859</v>
      </c>
      <c r="T8" s="27" t="s">
        <v>42</v>
      </c>
      <c r="U8" s="21">
        <f>S$11*(T$11-P8)*H8*B8</f>
        <v>1116.6680490974318</v>
      </c>
      <c r="V8" s="28" t="s">
        <v>42</v>
      </c>
      <c r="W8" s="24">
        <f t="shared" si="5"/>
        <v>1312.6081100088493</v>
      </c>
      <c r="X8" s="25">
        <f t="shared" si="12"/>
        <v>2921.4929672505591</v>
      </c>
      <c r="Y8" s="22">
        <f t="shared" si="6"/>
        <v>1.2177520518722267</v>
      </c>
      <c r="Z8" s="29">
        <f t="shared" si="7"/>
        <v>3300.2979672505589</v>
      </c>
    </row>
    <row r="9" spans="1:26" ht="22.5">
      <c r="A9" s="19" t="s">
        <v>8</v>
      </c>
      <c r="B9" s="30">
        <v>7.9950000000000001</v>
      </c>
      <c r="C9" s="21">
        <v>23809.9</v>
      </c>
      <c r="D9" s="21">
        <f t="shared" si="8"/>
        <v>2978.0988117573484</v>
      </c>
      <c r="E9" s="21">
        <f t="shared" si="9"/>
        <v>21784.809999999998</v>
      </c>
      <c r="F9" s="21">
        <f t="shared" si="10"/>
        <v>2724.8042526579111</v>
      </c>
      <c r="G9" s="22">
        <f>F9/F11</f>
        <v>1.2156746877292206</v>
      </c>
      <c r="H9" s="22">
        <f>[1]ИБР!Q9</f>
        <v>0.66395301402475893</v>
      </c>
      <c r="I9" s="22">
        <f t="shared" si="11"/>
        <v>1.8309649358469331</v>
      </c>
      <c r="J9" s="22">
        <f>I9</f>
        <v>1.8309649358469331</v>
      </c>
      <c r="K9" s="21">
        <v>0</v>
      </c>
      <c r="L9" s="23">
        <v>0.65</v>
      </c>
      <c r="M9" s="24">
        <f t="shared" si="0"/>
        <v>0</v>
      </c>
      <c r="N9" s="21">
        <f t="shared" si="1"/>
        <v>27941.61</v>
      </c>
      <c r="O9" s="21">
        <f t="shared" si="2"/>
        <v>3494.8855534709191</v>
      </c>
      <c r="P9" s="25">
        <f t="shared" si="3"/>
        <v>1.8309649358469331</v>
      </c>
      <c r="Q9" s="26">
        <v>17653.099999999999</v>
      </c>
      <c r="R9" s="22">
        <v>4131.71</v>
      </c>
      <c r="S9" s="26">
        <f t="shared" si="4"/>
        <v>2724.8042526579111</v>
      </c>
      <c r="T9" s="27" t="s">
        <v>42</v>
      </c>
      <c r="U9" s="21">
        <v>0</v>
      </c>
      <c r="V9" s="28" t="s">
        <v>42</v>
      </c>
      <c r="W9" s="24">
        <f t="shared" si="5"/>
        <v>0</v>
      </c>
      <c r="X9" s="25">
        <f t="shared" si="12"/>
        <v>0</v>
      </c>
      <c r="Y9" s="22">
        <f t="shared" si="6"/>
        <v>1.8309649358469331</v>
      </c>
      <c r="Z9" s="29">
        <f>X9+R9</f>
        <v>4131.71</v>
      </c>
    </row>
    <row r="10" spans="1:26">
      <c r="A10" s="19" t="s">
        <v>45</v>
      </c>
      <c r="B10" s="20">
        <v>1.7629999999999999</v>
      </c>
      <c r="C10" s="21">
        <v>5205.1000000000004</v>
      </c>
      <c r="D10" s="21">
        <f t="shared" si="8"/>
        <v>2952.4106636415204</v>
      </c>
      <c r="E10" s="21">
        <f t="shared" si="9"/>
        <v>4909.0950000000003</v>
      </c>
      <c r="F10" s="21">
        <f t="shared" si="10"/>
        <v>2784.5121951219517</v>
      </c>
      <c r="G10" s="22">
        <f>F10/F11</f>
        <v>1.2423134579231248</v>
      </c>
      <c r="H10" s="22">
        <f>[1]ИБР!Q10</f>
        <v>1.9896622094072209</v>
      </c>
      <c r="I10" s="22">
        <f t="shared" si="11"/>
        <v>0.62438410502516739</v>
      </c>
      <c r="J10" s="22"/>
      <c r="K10" s="21">
        <f>$D$11*($J$11-I10)*H10*B10</f>
        <v>3608.2191351992687</v>
      </c>
      <c r="L10" s="23">
        <v>0.65</v>
      </c>
      <c r="M10" s="24">
        <f t="shared" si="0"/>
        <v>2345.3424378795248</v>
      </c>
      <c r="N10" s="21">
        <f t="shared" si="1"/>
        <v>8461.5374378795241</v>
      </c>
      <c r="O10" s="21">
        <f t="shared" si="2"/>
        <v>4799.5107418488515</v>
      </c>
      <c r="P10" s="25">
        <f t="shared" si="3"/>
        <v>0.82519972642025663</v>
      </c>
      <c r="Q10" s="26">
        <v>3998</v>
      </c>
      <c r="R10" s="22">
        <v>911.09500000000003</v>
      </c>
      <c r="S10" s="26">
        <f t="shared" si="4"/>
        <v>4114.8255461596855</v>
      </c>
      <c r="T10" s="27" t="s">
        <v>42</v>
      </c>
      <c r="U10" s="21">
        <f>S$11*(T$11-P10)*H10*B10</f>
        <v>1374.3321492694984</v>
      </c>
      <c r="V10" s="28" t="s">
        <v>42</v>
      </c>
      <c r="W10" s="24">
        <f t="shared" si="5"/>
        <v>1615.4841418048279</v>
      </c>
      <c r="X10" s="25">
        <f t="shared" si="12"/>
        <v>3960.8265796843525</v>
      </c>
      <c r="Y10" s="22">
        <f t="shared" si="6"/>
        <v>1.1281586620700217</v>
      </c>
      <c r="Z10" s="29">
        <f t="shared" si="7"/>
        <v>4871.9215796843528</v>
      </c>
    </row>
    <row r="11" spans="1:26" ht="21">
      <c r="A11" s="31" t="s">
        <v>11</v>
      </c>
      <c r="B11" s="32">
        <f>SUM(B5:B10)</f>
        <v>15.032999999999999</v>
      </c>
      <c r="C11" s="33">
        <f>SUM(C5:C10)</f>
        <v>33670.700000000004</v>
      </c>
      <c r="D11" s="33">
        <f t="shared" si="8"/>
        <v>2239.7858045632943</v>
      </c>
      <c r="E11" s="21">
        <f t="shared" si="9"/>
        <v>33694.855000000003</v>
      </c>
      <c r="F11" s="21">
        <f t="shared" si="10"/>
        <v>2241.3926029401987</v>
      </c>
      <c r="G11" s="32">
        <f>D11/D11</f>
        <v>1</v>
      </c>
      <c r="H11" s="32">
        <v>1.00021659538301</v>
      </c>
      <c r="I11" s="32">
        <f t="shared" si="11"/>
        <v>0.99978345152039083</v>
      </c>
      <c r="J11" s="32">
        <f>SUM(J5:J10)/2</f>
        <v>1.0836400151989423</v>
      </c>
      <c r="K11" s="33">
        <f>SUM(K5:K10)</f>
        <v>13250.150590652884</v>
      </c>
      <c r="L11" s="34">
        <v>0.65</v>
      </c>
      <c r="M11" s="35">
        <f>SUM(M5:M10)</f>
        <v>8612.5978839243744</v>
      </c>
      <c r="N11" s="33">
        <f>SUM(N5:N10)</f>
        <v>50052.152883924377</v>
      </c>
      <c r="O11" s="33">
        <f>N11/B11</f>
        <v>3329.4853245476206</v>
      </c>
      <c r="P11" s="36">
        <v>1</v>
      </c>
      <c r="Q11" s="37">
        <f>SUM(Q5:Q10)</f>
        <v>25926</v>
      </c>
      <c r="R11" s="32">
        <f>SUM(R5:R10)</f>
        <v>7768.8550000000005</v>
      </c>
      <c r="S11" s="37">
        <f>(Q11+R11)/B11</f>
        <v>2241.3926029401987</v>
      </c>
      <c r="T11" s="37">
        <v>1</v>
      </c>
      <c r="U11" s="33">
        <f>SUM(U5:U10)</f>
        <v>5518.9927667138063</v>
      </c>
      <c r="V11" s="36">
        <f>15100</f>
        <v>15100</v>
      </c>
      <c r="W11" s="35">
        <f>SUM(W5:W10)</f>
        <v>6487.4021160756256</v>
      </c>
      <c r="X11" s="36">
        <f t="shared" si="12"/>
        <v>15100</v>
      </c>
      <c r="Y11" s="37">
        <f>SUM(Y5:Y10)/6</f>
        <v>1.2833923337320263</v>
      </c>
      <c r="Z11" s="29">
        <f>X11+R11</f>
        <v>22868.855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L19"/>
  <sheetViews>
    <sheetView workbookViewId="0">
      <selection activeCell="M1" sqref="K1:M1048576"/>
    </sheetView>
  </sheetViews>
  <sheetFormatPr defaultRowHeight="15"/>
  <cols>
    <col min="1" max="1" width="27.85546875" customWidth="1"/>
    <col min="2" max="2" width="20.28515625" customWidth="1"/>
    <col min="3" max="3" width="22.85546875" customWidth="1"/>
    <col min="4" max="4" width="22.140625" customWidth="1"/>
    <col min="5" max="5" width="26.7109375" customWidth="1"/>
    <col min="11" max="11" width="0" hidden="1" customWidth="1"/>
    <col min="12" max="12" width="9.140625" hidden="1" customWidth="1"/>
    <col min="13" max="13" width="0" hidden="1" customWidth="1"/>
  </cols>
  <sheetData>
    <row r="2" spans="1:12" ht="15.75">
      <c r="A2" s="2" t="s">
        <v>47</v>
      </c>
      <c r="B2" s="2"/>
      <c r="C2" s="2"/>
      <c r="D2" s="2"/>
      <c r="E2" s="1"/>
      <c r="F2" s="1"/>
      <c r="G2" s="1"/>
      <c r="H2" s="1"/>
      <c r="I2" s="1"/>
      <c r="J2" s="1"/>
      <c r="K2" s="1"/>
    </row>
    <row r="4" spans="1:12" ht="48.75" customHeight="1">
      <c r="A4" s="4" t="s">
        <v>0</v>
      </c>
      <c r="B4" s="3" t="s">
        <v>1</v>
      </c>
      <c r="C4" s="3" t="s">
        <v>48</v>
      </c>
      <c r="D4" s="5" t="s">
        <v>49</v>
      </c>
      <c r="E4" s="3" t="s">
        <v>2</v>
      </c>
      <c r="L4" s="1">
        <f>(7772.1-3.245)/15.033</f>
        <v>516.78673584780154</v>
      </c>
    </row>
    <row r="5" spans="1:12" ht="15.75">
      <c r="A5" s="4"/>
      <c r="B5" s="5">
        <v>1</v>
      </c>
      <c r="C5" s="5">
        <v>2</v>
      </c>
      <c r="D5" s="5">
        <v>3</v>
      </c>
      <c r="E5" s="6">
        <v>4</v>
      </c>
    </row>
    <row r="6" spans="1:12" ht="15.75">
      <c r="A6" s="6" t="s">
        <v>3</v>
      </c>
      <c r="B6" s="11">
        <v>1.4259999999999999</v>
      </c>
      <c r="C6" s="7">
        <f>L4*B6</f>
        <v>736.93788531896496</v>
      </c>
      <c r="D6" s="14">
        <v>954.7</v>
      </c>
      <c r="E6" s="7">
        <f>C6+D6</f>
        <v>1691.6378853189649</v>
      </c>
    </row>
    <row r="7" spans="1:12" ht="15.75">
      <c r="A7" s="6" t="s">
        <v>4</v>
      </c>
      <c r="B7" s="15">
        <v>2.2559999999999998</v>
      </c>
      <c r="C7" s="7">
        <f>L4*B7</f>
        <v>1165.8708760726402</v>
      </c>
      <c r="D7" s="14">
        <v>1806.2</v>
      </c>
      <c r="E7" s="7">
        <f t="shared" ref="E7:E18" si="0">C7+D7</f>
        <v>2972.0708760726402</v>
      </c>
    </row>
    <row r="8" spans="1:12" ht="15.75">
      <c r="A8" s="6" t="s">
        <v>5</v>
      </c>
      <c r="B8" s="11">
        <v>0.86</v>
      </c>
      <c r="C8" s="7">
        <f>L4*B8</f>
        <v>444.43659282910932</v>
      </c>
      <c r="D8" s="14">
        <v>917.5</v>
      </c>
      <c r="E8" s="7">
        <f t="shared" si="0"/>
        <v>1361.9365928291093</v>
      </c>
    </row>
    <row r="9" spans="1:12" ht="15.75">
      <c r="A9" s="6" t="s">
        <v>6</v>
      </c>
      <c r="B9" s="11">
        <v>0.73299999999999998</v>
      </c>
      <c r="C9" s="7">
        <f>L4*B9</f>
        <v>378.80467737643852</v>
      </c>
      <c r="D9" s="14">
        <v>1349.5</v>
      </c>
      <c r="E9" s="7">
        <f t="shared" si="0"/>
        <v>1728.3046773764386</v>
      </c>
    </row>
    <row r="10" spans="1:12" ht="15.75">
      <c r="A10" s="8" t="s">
        <v>7</v>
      </c>
      <c r="B10" s="9">
        <f>B6+B7+B8+B9</f>
        <v>5.2749999999999995</v>
      </c>
      <c r="C10" s="10">
        <f>SUM(C6:C9)</f>
        <v>2726.0500315971531</v>
      </c>
      <c r="D10" s="10">
        <f>D6+D7+D8+D9</f>
        <v>5027.8999999999996</v>
      </c>
      <c r="E10" s="10">
        <f t="shared" si="0"/>
        <v>7753.9500315971527</v>
      </c>
    </row>
    <row r="11" spans="1:12" ht="15.75">
      <c r="A11" s="6"/>
      <c r="B11" s="11"/>
      <c r="C11" s="7"/>
      <c r="D11" s="7"/>
      <c r="E11" s="7"/>
    </row>
    <row r="12" spans="1:12" ht="15.75">
      <c r="A12" s="6" t="s">
        <v>8</v>
      </c>
      <c r="B12" s="15">
        <v>7.9950000000000001</v>
      </c>
      <c r="C12" s="7">
        <f>L4*B12</f>
        <v>4131.7099531031736</v>
      </c>
      <c r="D12" s="16">
        <v>23442.2</v>
      </c>
      <c r="E12" s="7">
        <f t="shared" si="0"/>
        <v>27573.909953103175</v>
      </c>
    </row>
    <row r="13" spans="1:12" ht="15.75">
      <c r="A13" s="6" t="s">
        <v>9</v>
      </c>
      <c r="B13" s="11">
        <v>1.7629999999999999</v>
      </c>
      <c r="C13" s="7">
        <f>L4*B13</f>
        <v>911.09501529967406</v>
      </c>
      <c r="D13" s="16">
        <v>5059.6000000000004</v>
      </c>
      <c r="E13" s="7">
        <f t="shared" si="0"/>
        <v>5970.6950152996742</v>
      </c>
    </row>
    <row r="14" spans="1:12" ht="15.75">
      <c r="A14" s="8" t="s">
        <v>10</v>
      </c>
      <c r="B14" s="9">
        <f>B12+B13</f>
        <v>9.7579999999999991</v>
      </c>
      <c r="C14" s="10">
        <f>C12+C13</f>
        <v>5042.8049684028474</v>
      </c>
      <c r="D14" s="10">
        <f>D12+D13</f>
        <v>28501.800000000003</v>
      </c>
      <c r="E14" s="7">
        <f t="shared" si="0"/>
        <v>33544.604968402848</v>
      </c>
    </row>
    <row r="15" spans="1:12" ht="15.75">
      <c r="A15" s="6"/>
      <c r="B15" s="11"/>
      <c r="C15" s="7"/>
      <c r="D15" s="7"/>
      <c r="E15" s="7"/>
    </row>
    <row r="16" spans="1:12" ht="26.25" customHeight="1">
      <c r="A16" s="8" t="s">
        <v>11</v>
      </c>
      <c r="B16" s="12">
        <f>B10+B14</f>
        <v>15.032999999999998</v>
      </c>
      <c r="C16" s="10">
        <f>C10+C14</f>
        <v>7768.8550000000005</v>
      </c>
      <c r="D16" s="10">
        <f>D10+D14</f>
        <v>33529.700000000004</v>
      </c>
      <c r="E16" s="10">
        <f>C16+D16</f>
        <v>41298.555000000008</v>
      </c>
    </row>
    <row r="17" spans="1:5" ht="38.25" customHeight="1">
      <c r="A17" s="13" t="s">
        <v>12</v>
      </c>
      <c r="B17" s="6"/>
      <c r="C17" s="7">
        <v>3.2450000000000001</v>
      </c>
      <c r="D17" s="7">
        <v>57309.8</v>
      </c>
      <c r="E17" s="7">
        <f t="shared" si="0"/>
        <v>57313.045000000006</v>
      </c>
    </row>
    <row r="18" spans="1:5" ht="32.25" customHeight="1">
      <c r="A18" s="13" t="s">
        <v>13</v>
      </c>
      <c r="B18" s="10">
        <f>B16+B17</f>
        <v>15.032999999999998</v>
      </c>
      <c r="C18" s="10">
        <f>C16+C17</f>
        <v>7772.1</v>
      </c>
      <c r="D18" s="10">
        <f>D16+D17</f>
        <v>90839.5</v>
      </c>
      <c r="E18" s="10">
        <f t="shared" si="0"/>
        <v>98611.6</v>
      </c>
    </row>
    <row r="19" spans="1:5" ht="32.25" customHeight="1"/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дотации </vt:lpstr>
      <vt:lpstr>Субвенции от чмсленности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2023-01-10T10:27:40Z</dcterms:modified>
</cp:coreProperties>
</file>